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microsoft.com/office/2011/relationships/webextensiontaskpanes" Target="xl/webextensions/taskpanes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olliers.sharepoint.com/sites/BalanoffTeam-PARUS/Shared Documents/General/PavXpress/24 Andrews/"/>
    </mc:Choice>
  </mc:AlternateContent>
  <xr:revisionPtr revIDLastSave="556" documentId="8_{1F13FEAF-8F9C-425E-9A64-F76ED0E914D2}" xr6:coauthVersionLast="47" xr6:coauthVersionMax="47" xr10:uidLastSave="{2BACB5DB-D3A8-4471-8F6E-EF0C24CC3F23}"/>
  <bookViews>
    <workbookView xWindow="-120" yWindow="-120" windowWidth="29040" windowHeight="15720" xr2:uid="{52D2F164-4806-4F7B-B7CF-2694783141E5}"/>
  </bookViews>
  <sheets>
    <sheet name="Aquisition Model" sheetId="1" r:id="rId1"/>
    <sheet name="Cash Flow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K14" i="2" l="1"/>
  <c r="J14" i="2"/>
  <c r="I14" i="2"/>
  <c r="H14" i="2"/>
  <c r="G14" i="2"/>
  <c r="F14" i="2"/>
  <c r="E14" i="2"/>
  <c r="D14" i="2"/>
  <c r="C14" i="2"/>
  <c r="B14" i="2"/>
  <c r="D13" i="2"/>
  <c r="E13" i="2" s="1"/>
  <c r="F13" i="2" s="1"/>
  <c r="G13" i="2" s="1"/>
  <c r="H13" i="2" s="1"/>
  <c r="I13" i="2" s="1"/>
  <c r="J13" i="2" s="1"/>
  <c r="K13" i="2" s="1"/>
  <c r="D12" i="2"/>
  <c r="E12" i="2" s="1"/>
  <c r="F12" i="2" s="1"/>
  <c r="G12" i="2" s="1"/>
  <c r="H12" i="2" s="1"/>
  <c r="I12" i="2" s="1"/>
  <c r="J12" i="2" s="1"/>
  <c r="K12" i="2" s="1"/>
  <c r="C13" i="2"/>
  <c r="C12" i="2"/>
  <c r="B13" i="2"/>
  <c r="B12" i="2"/>
  <c r="C15" i="2"/>
  <c r="D15" i="2" s="1"/>
  <c r="E15" i="2" s="1"/>
  <c r="F15" i="2" s="1"/>
  <c r="G15" i="2" s="1"/>
  <c r="H15" i="2" s="1"/>
  <c r="I15" i="2" s="1"/>
  <c r="J15" i="2" s="1"/>
  <c r="K15" i="2" s="1"/>
  <c r="B15" i="2"/>
  <c r="B26" i="1"/>
  <c r="B31" i="1" s="1"/>
  <c r="B34" i="1" s="1"/>
  <c r="B30" i="1"/>
  <c r="B29" i="1"/>
  <c r="B16" i="2"/>
  <c r="C16" i="2" s="1"/>
  <c r="B15" i="1"/>
  <c r="B16" i="1" s="1"/>
  <c r="C11" i="2"/>
  <c r="D11" i="2" s="1"/>
  <c r="E11" i="2" s="1"/>
  <c r="F11" i="2" s="1"/>
  <c r="G11" i="2" s="1"/>
  <c r="H11" i="2" s="1"/>
  <c r="I11" i="2" s="1"/>
  <c r="J11" i="2" s="1"/>
  <c r="K11" i="2" s="1"/>
  <c r="B17" i="2" l="1"/>
  <c r="D16" i="2"/>
  <c r="B25" i="1"/>
  <c r="B24" i="1"/>
  <c r="B19" i="1"/>
  <c r="B9" i="1"/>
  <c r="E16" i="2" l="1"/>
  <c r="B20" i="1"/>
  <c r="K18" i="2"/>
  <c r="E18" i="2"/>
  <c r="C18" i="2"/>
  <c r="J18" i="2"/>
  <c r="D18" i="2"/>
  <c r="B18" i="2"/>
  <c r="I18" i="2"/>
  <c r="H18" i="2"/>
  <c r="G18" i="2"/>
  <c r="F18" i="2"/>
  <c r="C17" i="2"/>
  <c r="B35" i="1"/>
  <c r="F16" i="2" l="1"/>
  <c r="D17" i="2"/>
  <c r="B21" i="2"/>
  <c r="B19" i="2"/>
  <c r="B22" i="2" s="1"/>
  <c r="B38" i="1"/>
  <c r="B36" i="1"/>
  <c r="B37" i="1" s="1"/>
  <c r="G16" i="2" l="1"/>
  <c r="B20" i="2"/>
  <c r="E17" i="2"/>
  <c r="C21" i="2"/>
  <c r="C19" i="2"/>
  <c r="C22" i="2" s="1"/>
  <c r="H16" i="2" l="1"/>
  <c r="F17" i="2"/>
  <c r="D21" i="2"/>
  <c r="D19" i="2"/>
  <c r="D22" i="2" s="1"/>
  <c r="C20" i="2"/>
  <c r="I16" i="2" l="1"/>
  <c r="D20" i="2"/>
  <c r="G17" i="2"/>
  <c r="E21" i="2"/>
  <c r="E19" i="2"/>
  <c r="E22" i="2" s="1"/>
  <c r="J16" i="2" l="1"/>
  <c r="H17" i="2"/>
  <c r="F19" i="2"/>
  <c r="F22" i="2" s="1"/>
  <c r="F21" i="2"/>
  <c r="E20" i="2"/>
  <c r="K16" i="2" l="1"/>
  <c r="F20" i="2"/>
  <c r="I17" i="2"/>
  <c r="G21" i="2"/>
  <c r="G19" i="2"/>
  <c r="G22" i="2" s="1"/>
  <c r="H19" i="2" l="1"/>
  <c r="H22" i="2" s="1"/>
  <c r="H21" i="2"/>
  <c r="J17" i="2"/>
  <c r="G20" i="2"/>
  <c r="H20" i="2" l="1"/>
  <c r="I21" i="2"/>
  <c r="I19" i="2"/>
  <c r="I22" i="2" s="1"/>
  <c r="K17" i="2"/>
  <c r="I20" i="2" l="1"/>
  <c r="J21" i="2"/>
  <c r="J19" i="2"/>
  <c r="J22" i="2" s="1"/>
  <c r="K19" i="2" l="1"/>
  <c r="K22" i="2" s="1"/>
  <c r="K21" i="2"/>
  <c r="J20" i="2"/>
  <c r="K20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Canosa, Michael</author>
  </authors>
  <commentList>
    <comment ref="B7" authorId="0" shapeId="0" xr:uid="{D5037B07-F59D-48EC-A223-2696971D2089}">
      <text>
        <r>
          <rPr>
            <b/>
            <sz val="9"/>
            <color indexed="81"/>
            <rFont val="Tahoma"/>
            <charset val="1"/>
          </rPr>
          <t>Total property operating expenses, Year 1. Only PavXpress's pro-rata share (2.7 of 4.7 acres) is charged as an expense in row 15; Tenant A leaseback is NNN.</t>
        </r>
      </text>
    </comment>
    <comment ref="B12" authorId="0" shapeId="0" xr:uid="{D495167C-4B1A-41F8-BC88-832703E3BC36}">
      <text>
        <r>
          <rPr>
            <b/>
            <sz val="9"/>
            <color indexed="81"/>
            <rFont val="Tahoma"/>
            <charset val="1"/>
          </rPr>
          <t>Canosa, Michael:</t>
        </r>
        <r>
          <rPr>
            <sz val="9"/>
            <color indexed="81"/>
            <rFont val="Tahoma"/>
            <charset val="1"/>
          </rPr>
          <t xml:space="preserve">
Base rent + Seller Leaseback OpEx recovery (NNN). OpEx portion tracks row 15.</t>
        </r>
      </text>
    </comment>
    <comment ref="B13" authorId="0" shapeId="0" xr:uid="{A7406091-9AD4-4637-90FB-278D4A0BB656}">
      <text>
        <r>
          <rPr>
            <b/>
            <sz val="9"/>
            <color indexed="81"/>
            <rFont val="Tahoma"/>
            <charset val="1"/>
          </rPr>
          <t>Canosa, Michael:</t>
        </r>
        <r>
          <rPr>
            <sz val="9"/>
            <color indexed="81"/>
            <rFont val="Tahoma"/>
            <charset val="1"/>
          </rPr>
          <t xml:space="preserve">
Base rent + PavXpress OpEx recovery (NNN). OpEx portion tracks row 16.</t>
        </r>
      </text>
    </comment>
  </commentList>
</comments>
</file>

<file path=xl/sharedStrings.xml><?xml version="1.0" encoding="utf-8"?>
<sst xmlns="http://schemas.openxmlformats.org/spreadsheetml/2006/main" count="55" uniqueCount="51">
  <si>
    <t>Purchase Price</t>
  </si>
  <si>
    <t>PavCorp – 24 Andrews Dr Acquisition Model</t>
  </si>
  <si>
    <t>Blue = input (editable). Black = calculated.</t>
  </si>
  <si>
    <t>PROPERTY</t>
  </si>
  <si>
    <t>Total Acres</t>
  </si>
  <si>
    <t>Building SF</t>
  </si>
  <si>
    <t>Tenant A – Seller Leaseback (acres)</t>
  </si>
  <si>
    <t>Tenant B – PavXpress (acres)</t>
  </si>
  <si>
    <t>PURCHASE &amp; FINANCING</t>
  </si>
  <si>
    <t>LTV %</t>
  </si>
  <si>
    <t>Loan Amount</t>
  </si>
  <si>
    <t>Equity Required</t>
  </si>
  <si>
    <t>Interest Rate</t>
  </si>
  <si>
    <t>Amortization (years)</t>
  </si>
  <si>
    <t>Annual Debt Service</t>
  </si>
  <si>
    <t>Tenant A Annual Rent</t>
  </si>
  <si>
    <t>Tenant B Annual Rent</t>
  </si>
  <si>
    <t>Gross Rental Income</t>
  </si>
  <si>
    <t>Net Operating Income (NOI)</t>
  </si>
  <si>
    <t>RETURNS</t>
  </si>
  <si>
    <t>Cap Rate (NOI / Price)</t>
  </si>
  <si>
    <t>Annual Cash Flow (NOI – Debt Service)</t>
  </si>
  <si>
    <t>Cash-on-Cash (CF / Equity)</t>
  </si>
  <si>
    <t>DSCR (NOI / Debt Service)</t>
  </si>
  <si>
    <t>RENT (per acre / month)</t>
  </si>
  <si>
    <t>Tenant A – Seller Leaseback ($/acre/mo)</t>
  </si>
  <si>
    <t>Tenant B – PavXpress ($/acre/mo)</t>
  </si>
  <si>
    <t>Net Rental Income</t>
  </si>
  <si>
    <t>PavCorp – 24 Andrews Dr | 10-Year Cash Flow</t>
  </si>
  <si>
    <t>Blue = input (edit me). Black = calculated. All assumptions pull from Sheet1.</t>
  </si>
  <si>
    <t>ASSUMPTIONS</t>
  </si>
  <si>
    <t>Operating expenses Year 1 ($)</t>
  </si>
  <si>
    <t>OpEx growth (annual %)</t>
  </si>
  <si>
    <t>10-YEAR CASH FLOW</t>
  </si>
  <si>
    <t>Year</t>
  </si>
  <si>
    <t>NOI</t>
  </si>
  <si>
    <t>Debt Service</t>
  </si>
  <si>
    <t>Cash Flow After Debt</t>
  </si>
  <si>
    <t>Cumulative Cash Flow</t>
  </si>
  <si>
    <t>Dockzilla</t>
  </si>
  <si>
    <t>Monthly Debt Service</t>
  </si>
  <si>
    <t xml:space="preserve">Seller Leaseback </t>
  </si>
  <si>
    <t>PavXpress</t>
  </si>
  <si>
    <t>Seller Leaseback (annual %)</t>
  </si>
  <si>
    <t>PavXpress (annual %)</t>
  </si>
  <si>
    <t>Operating Expenses - PavXpress</t>
  </si>
  <si>
    <t>Operating Expenses - Seller Leaseback</t>
  </si>
  <si>
    <t>OPEX (per year)</t>
  </si>
  <si>
    <t>Total Operating Expenses ($/yr)</t>
  </si>
  <si>
    <t>Seller Leaseback OpEx (2 acres)</t>
  </si>
  <si>
    <t>PavXpress OpEx (2.7 acres)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</si>
</sst>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$&quot;#,##0.00_);\(&quot;$&quot;#,##0.00\)"/>
    <numFmt numFmtId="164" formatCode="&quot;$&quot;#,##0;\(&quot;$&quot;#,##0\);\-"/>
    <numFmt numFmtId="165" formatCode="0.0%"/>
    <numFmt numFmtId="166" formatCode="0.00&quot;x&quot;"/>
    <numFmt numFmtId="167" formatCode="&quot;Y&quot;0"/>
  </numFmts>
  <fonts count="1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0"/>
      <color rgb="FF666666"/>
      <name val="Aptos Narrow"/>
      <family val="2"/>
      <scheme val="minor"/>
    </font>
    <font>
      <sz val="11"/>
      <color rgb="FF0000FF"/>
      <name val="Aptos Narrow"/>
      <family val="2"/>
      <scheme val="minor"/>
    </font>
    <font>
      <b/>
      <sz val="14"/>
      <color rgb="FFFFFFFF"/>
      <name val="Aptos Narrow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rgb="FF1F2937"/>
      <name val="Aptos Narrow"/>
      <scheme val="minor"/>
    </font>
    <font>
      <b/>
      <sz val="11"/>
      <color rgb="FFFFFFFF"/>
      <name val="Aptos Narrow"/>
      <scheme val="minor"/>
    </font>
    <font>
      <b/>
      <sz val="16"/>
      <color rgb="FFFFFFFF"/>
      <name val="Aptos Narrow"/>
      <scheme val="minor"/>
    </font>
    <font>
      <i/>
      <sz val="10"/>
      <color rgb="FF64748B"/>
      <name val="Aptos Narrow"/>
      <scheme val="minor"/>
    </font>
    <font>
      <b/>
      <sz val="11"/>
      <color rgb="FF0000FF"/>
      <name val="Aptos Narrow"/>
      <scheme val="minor"/>
    </font>
    <font>
      <b/>
      <sz val="11"/>
      <color rgb="FF1F2937"/>
      <name val="Aptos Narrow"/>
      <scheme val="minor"/>
    </font>
    <font>
      <b/>
      <i/>
      <sz val="11"/>
      <color rgb="FF1F2937"/>
      <name val="Aptos Narrow"/>
      <scheme val="minor"/>
    </font>
    <font>
      <b/>
      <sz val="11"/>
      <color theme="1"/>
      <name val="Aptos Narrow"/>
      <scheme val="minor"/>
    </font>
    <font>
      <b/>
      <sz val="11"/>
      <color rgb="FF000000"/>
      <name val="Aptos Narrow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rgb="FFEAF1FB"/>
        <bgColor indexed="64"/>
      </patternFill>
    </fill>
    <fill>
      <patternFill patternType="solid">
        <fgColor rgb="FF0F2A4A"/>
        <bgColor indexed="64"/>
      </patternFill>
    </fill>
    <fill>
      <patternFill patternType="solid">
        <fgColor rgb="FFF8FAF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334155"/>
        <bgColor indexed="64"/>
      </patternFill>
    </fill>
    <fill>
      <patternFill patternType="solid">
        <fgColor rgb="FFD1FAE5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rgb="FF8FAADC"/>
      </bottom>
      <diagonal/>
    </border>
    <border>
      <left/>
      <right/>
      <top/>
      <bottom style="thin">
        <color rgb="FFBF8F00"/>
      </bottom>
      <diagonal/>
    </border>
    <border>
      <left/>
      <right/>
      <top style="thin">
        <color rgb="FFBFBFBF"/>
      </top>
      <bottom/>
      <diagonal/>
    </border>
    <border>
      <left/>
      <right/>
      <top style="thin">
        <color rgb="FF94A3B8"/>
      </top>
      <bottom/>
      <diagonal/>
    </border>
    <border>
      <left/>
      <right/>
      <top style="thin">
        <color rgb="FF94A3B8"/>
      </top>
      <bottom style="thin">
        <color rgb="FFD4A017"/>
      </bottom>
      <diagonal/>
    </border>
    <border>
      <left/>
      <right/>
      <top style="thin">
        <color rgb="FF94A3B8"/>
      </top>
      <bottom style="thin">
        <color rgb="FF10B981"/>
      </bottom>
      <diagonal/>
    </border>
    <border>
      <left/>
      <right/>
      <top style="medium">
        <color rgb="FF1F3864"/>
      </top>
      <bottom/>
      <diagonal/>
    </border>
    <border>
      <left/>
      <right/>
      <top/>
      <bottom style="medium">
        <color rgb="FF1F3864"/>
      </bottom>
      <diagonal/>
    </border>
    <border>
      <left/>
      <right style="medium">
        <color rgb="FF1F3864"/>
      </right>
      <top style="medium">
        <color rgb="FF1F3864"/>
      </top>
      <bottom/>
      <diagonal/>
    </border>
    <border>
      <left/>
      <right style="medium">
        <color rgb="FF1F3864"/>
      </right>
      <top/>
      <bottom/>
      <diagonal/>
    </border>
    <border>
      <left/>
      <right style="medium">
        <color rgb="FF1F3864"/>
      </right>
      <top style="thin">
        <color rgb="FF94A3B8"/>
      </top>
      <bottom/>
      <diagonal/>
    </border>
    <border>
      <left/>
      <right style="medium">
        <color rgb="FF1F3864"/>
      </right>
      <top style="thin">
        <color rgb="FF94A3B8"/>
      </top>
      <bottom style="thin">
        <color rgb="FFD4A017"/>
      </bottom>
      <diagonal/>
    </border>
    <border>
      <left/>
      <right style="medium">
        <color rgb="FF1F3864"/>
      </right>
      <top style="thin">
        <color rgb="FF94A3B8"/>
      </top>
      <bottom style="thin">
        <color rgb="FF10B981"/>
      </bottom>
      <diagonal/>
    </border>
    <border>
      <left/>
      <right style="medium">
        <color rgb="FF1F3864"/>
      </right>
      <top/>
      <bottom style="medium">
        <color rgb="FF1F3864"/>
      </bottom>
      <diagonal/>
    </border>
    <border>
      <left/>
      <right/>
      <top style="thin">
        <color rgb="FF1F3864"/>
      </top>
      <bottom/>
      <diagonal/>
    </border>
    <border>
      <left/>
      <right/>
      <top/>
      <bottom style="thin">
        <color rgb="FF1F3864"/>
      </bottom>
      <diagonal/>
    </border>
    <border>
      <left style="thin">
        <color rgb="FF1F3864"/>
      </left>
      <right/>
      <top style="thin">
        <color rgb="FF1F3864"/>
      </top>
      <bottom/>
      <diagonal/>
    </border>
    <border>
      <left style="thin">
        <color rgb="FF1F3864"/>
      </left>
      <right/>
      <top/>
      <bottom/>
      <diagonal/>
    </border>
    <border>
      <left style="thin">
        <color rgb="FF1F3864"/>
      </left>
      <right/>
      <top/>
      <bottom style="thin">
        <color rgb="FF1F3864"/>
      </bottom>
      <diagonal/>
    </border>
    <border>
      <left/>
      <right style="thin">
        <color rgb="FF1F3864"/>
      </right>
      <top style="thin">
        <color rgb="FF1F3864"/>
      </top>
      <bottom/>
      <diagonal/>
    </border>
    <border>
      <left/>
      <right style="thin">
        <color rgb="FF1F3864"/>
      </right>
      <top/>
      <bottom/>
      <diagonal/>
    </border>
    <border>
      <left/>
      <right style="thin">
        <color rgb="FF1F3864"/>
      </right>
      <top/>
      <bottom style="thin">
        <color rgb="FF1F3864"/>
      </bottom>
      <diagonal/>
    </border>
    <border>
      <left style="medium">
        <color rgb="FF1F3864"/>
      </left>
      <right style="thin">
        <color rgb="FF1F3864"/>
      </right>
      <top style="medium">
        <color rgb="FF1F3864"/>
      </top>
      <bottom/>
      <diagonal/>
    </border>
    <border>
      <left style="medium">
        <color rgb="FF1F3864"/>
      </left>
      <right style="thin">
        <color rgb="FF1F3864"/>
      </right>
      <top/>
      <bottom/>
      <diagonal/>
    </border>
    <border>
      <left style="medium">
        <color rgb="FF1F3864"/>
      </left>
      <right style="thin">
        <color rgb="FF1F3864"/>
      </right>
      <top style="thin">
        <color rgb="FF94A3B8"/>
      </top>
      <bottom/>
      <diagonal/>
    </border>
    <border>
      <left style="medium">
        <color rgb="FF1F3864"/>
      </left>
      <right style="thin">
        <color rgb="FF1F3864"/>
      </right>
      <top style="thin">
        <color rgb="FF94A3B8"/>
      </top>
      <bottom style="thin">
        <color rgb="FFD4A017"/>
      </bottom>
      <diagonal/>
    </border>
    <border>
      <left style="medium">
        <color rgb="FF1F3864"/>
      </left>
      <right style="thin">
        <color rgb="FF1F3864"/>
      </right>
      <top style="thin">
        <color rgb="FF94A3B8"/>
      </top>
      <bottom style="thin">
        <color rgb="FF10B981"/>
      </bottom>
      <diagonal/>
    </border>
    <border>
      <left style="medium">
        <color rgb="FF1F3864"/>
      </left>
      <right style="thin">
        <color rgb="FF1F3864"/>
      </right>
      <top/>
      <bottom style="medium">
        <color rgb="FF1F3864"/>
      </bottom>
      <diagonal/>
    </border>
    <border>
      <left/>
      <right/>
      <top style="thin">
        <color rgb="FF8FAADC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vertical="center" indent="1"/>
    </xf>
    <xf numFmtId="0" fontId="1" fillId="2" borderId="1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0" fillId="0" borderId="0" xfId="0" applyAlignment="1">
      <alignment indent="1"/>
    </xf>
    <xf numFmtId="0" fontId="1" fillId="0" borderId="0" xfId="0" applyFont="1" applyAlignment="1">
      <alignment indent="1"/>
    </xf>
    <xf numFmtId="0" fontId="1" fillId="0" borderId="3" xfId="0" applyFont="1" applyBorder="1" applyAlignment="1">
      <alignment indent="1"/>
    </xf>
    <xf numFmtId="0" fontId="1" fillId="2" borderId="1" xfId="0" applyFont="1" applyFill="1" applyBorder="1" applyAlignment="1">
      <alignment horizontal="right" vertical="center"/>
    </xf>
    <xf numFmtId="2" fontId="3" fillId="5" borderId="0" xfId="0" applyNumberFormat="1" applyFont="1" applyFill="1" applyAlignment="1">
      <alignment horizontal="right"/>
    </xf>
    <xf numFmtId="3" fontId="3" fillId="5" borderId="0" xfId="0" applyNumberFormat="1" applyFont="1" applyFill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64" fontId="3" fillId="5" borderId="0" xfId="0" applyNumberFormat="1" applyFont="1" applyFill="1" applyAlignment="1">
      <alignment horizontal="right"/>
    </xf>
    <xf numFmtId="165" fontId="3" fillId="5" borderId="0" xfId="0" applyNumberFormat="1" applyFont="1" applyFill="1" applyAlignment="1">
      <alignment horizontal="right"/>
    </xf>
    <xf numFmtId="164" fontId="0" fillId="0" borderId="0" xfId="0" applyNumberFormat="1" applyAlignment="1">
      <alignment horizontal="right"/>
    </xf>
    <xf numFmtId="164" fontId="1" fillId="0" borderId="3" xfId="0" applyNumberFormat="1" applyFont="1" applyBorder="1" applyAlignment="1">
      <alignment horizontal="right"/>
    </xf>
    <xf numFmtId="10" fontId="3" fillId="5" borderId="0" xfId="0" applyNumberFormat="1" applyFont="1" applyFill="1" applyAlignment="1">
      <alignment horizontal="right"/>
    </xf>
    <xf numFmtId="1" fontId="3" fillId="5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horizontal="right" vertical="center"/>
    </xf>
    <xf numFmtId="164" fontId="1" fillId="0" borderId="0" xfId="0" applyNumberFormat="1" applyFont="1" applyAlignment="1">
      <alignment horizontal="right"/>
    </xf>
    <xf numFmtId="10" fontId="1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166" fontId="1" fillId="3" borderId="0" xfId="0" applyNumberFormat="1" applyFont="1" applyFill="1" applyAlignment="1">
      <alignment horizontal="right"/>
    </xf>
    <xf numFmtId="0" fontId="7" fillId="0" borderId="0" xfId="0" applyFont="1"/>
    <xf numFmtId="164" fontId="12" fillId="9" borderId="4" xfId="0" applyNumberFormat="1" applyFont="1" applyFill="1" applyBorder="1" applyAlignment="1">
      <alignment horizontal="right" vertical="center"/>
    </xf>
    <xf numFmtId="166" fontId="7" fillId="9" borderId="4" xfId="0" applyNumberFormat="1" applyFont="1" applyFill="1" applyBorder="1" applyAlignment="1">
      <alignment horizontal="right" vertical="center"/>
    </xf>
    <xf numFmtId="164" fontId="12" fillId="3" borderId="5" xfId="0" applyNumberFormat="1" applyFont="1" applyFill="1" applyBorder="1" applyAlignment="1">
      <alignment horizontal="right" vertical="center"/>
    </xf>
    <xf numFmtId="164" fontId="12" fillId="11" borderId="6" xfId="0" applyNumberFormat="1" applyFont="1" applyFill="1" applyBorder="1" applyAlignment="1">
      <alignment horizontal="right" vertical="center"/>
    </xf>
    <xf numFmtId="164" fontId="7" fillId="9" borderId="0" xfId="0" applyNumberFormat="1" applyFont="1" applyFill="1" applyAlignment="1">
      <alignment horizontal="right" vertical="center"/>
    </xf>
    <xf numFmtId="164" fontId="7" fillId="8" borderId="0" xfId="0" applyNumberFormat="1" applyFont="1" applyFill="1" applyAlignment="1">
      <alignment horizontal="right" vertical="center"/>
    </xf>
    <xf numFmtId="164" fontId="13" fillId="8" borderId="0" xfId="0" applyNumberFormat="1" applyFont="1" applyFill="1" applyAlignment="1">
      <alignment horizontal="right" vertical="center"/>
    </xf>
    <xf numFmtId="167" fontId="8" fillId="10" borderId="7" xfId="0" applyNumberFormat="1" applyFont="1" applyFill="1" applyBorder="1" applyAlignment="1">
      <alignment horizontal="center" vertical="center"/>
    </xf>
    <xf numFmtId="10" fontId="7" fillId="8" borderId="8" xfId="0" applyNumberFormat="1" applyFont="1" applyFill="1" applyBorder="1" applyAlignment="1">
      <alignment horizontal="right" vertical="center"/>
    </xf>
    <xf numFmtId="167" fontId="8" fillId="10" borderId="9" xfId="0" applyNumberFormat="1" applyFont="1" applyFill="1" applyBorder="1" applyAlignment="1">
      <alignment horizontal="center" vertical="center"/>
    </xf>
    <xf numFmtId="164" fontId="7" fillId="9" borderId="10" xfId="0" applyNumberFormat="1" applyFont="1" applyFill="1" applyBorder="1" applyAlignment="1">
      <alignment horizontal="right" vertical="center"/>
    </xf>
    <xf numFmtId="164" fontId="7" fillId="8" borderId="10" xfId="0" applyNumberFormat="1" applyFont="1" applyFill="1" applyBorder="1" applyAlignment="1">
      <alignment horizontal="right" vertical="center"/>
    </xf>
    <xf numFmtId="164" fontId="12" fillId="9" borderId="11" xfId="0" applyNumberFormat="1" applyFont="1" applyFill="1" applyBorder="1" applyAlignment="1">
      <alignment horizontal="right" vertical="center"/>
    </xf>
    <xf numFmtId="164" fontId="12" fillId="3" borderId="12" xfId="0" applyNumberFormat="1" applyFont="1" applyFill="1" applyBorder="1" applyAlignment="1">
      <alignment horizontal="right" vertical="center"/>
    </xf>
    <xf numFmtId="164" fontId="12" fillId="11" borderId="13" xfId="0" applyNumberFormat="1" applyFont="1" applyFill="1" applyBorder="1" applyAlignment="1">
      <alignment horizontal="right" vertical="center"/>
    </xf>
    <xf numFmtId="164" fontId="13" fillId="8" borderId="10" xfId="0" applyNumberFormat="1" applyFont="1" applyFill="1" applyBorder="1" applyAlignment="1">
      <alignment horizontal="right" vertical="center"/>
    </xf>
    <xf numFmtId="166" fontId="7" fillId="9" borderId="11" xfId="0" applyNumberFormat="1" applyFont="1" applyFill="1" applyBorder="1" applyAlignment="1">
      <alignment horizontal="right" vertical="center"/>
    </xf>
    <xf numFmtId="10" fontId="7" fillId="8" borderId="14" xfId="0" applyNumberFormat="1" applyFont="1" applyFill="1" applyBorder="1" applyAlignment="1">
      <alignment horizontal="right" vertical="center"/>
    </xf>
    <xf numFmtId="165" fontId="11" fillId="5" borderId="0" xfId="0" applyNumberFormat="1" applyFont="1" applyFill="1" applyAlignment="1">
      <alignment horizontal="right" vertical="center"/>
    </xf>
    <xf numFmtId="0" fontId="7" fillId="8" borderId="0" xfId="0" applyFont="1" applyFill="1"/>
    <xf numFmtId="0" fontId="7" fillId="9" borderId="0" xfId="0" applyFont="1" applyFill="1"/>
    <xf numFmtId="164" fontId="11" fillId="5" borderId="0" xfId="0" applyNumberFormat="1" applyFont="1" applyFill="1" applyAlignment="1">
      <alignment horizontal="right" vertical="center"/>
    </xf>
    <xf numFmtId="165" fontId="11" fillId="5" borderId="16" xfId="0" applyNumberFormat="1" applyFont="1" applyFill="1" applyBorder="1" applyAlignment="1">
      <alignment horizontal="right" vertical="center"/>
    </xf>
    <xf numFmtId="0" fontId="7" fillId="9" borderId="16" xfId="0" applyFont="1" applyFill="1" applyBorder="1"/>
    <xf numFmtId="0" fontId="7" fillId="8" borderId="18" xfId="0" applyFont="1" applyFill="1" applyBorder="1" applyAlignment="1">
      <alignment vertical="center" indent="1"/>
    </xf>
    <xf numFmtId="0" fontId="7" fillId="9" borderId="19" xfId="0" applyFont="1" applyFill="1" applyBorder="1" applyAlignment="1">
      <alignment vertical="center" indent="1"/>
    </xf>
    <xf numFmtId="0" fontId="7" fillId="8" borderId="21" xfId="0" applyFont="1" applyFill="1" applyBorder="1"/>
    <xf numFmtId="0" fontId="7" fillId="9" borderId="21" xfId="0" applyFont="1" applyFill="1" applyBorder="1"/>
    <xf numFmtId="0" fontId="7" fillId="9" borderId="22" xfId="0" applyFont="1" applyFill="1" applyBorder="1"/>
    <xf numFmtId="0" fontId="8" fillId="10" borderId="23" xfId="0" applyFont="1" applyFill="1" applyBorder="1" applyAlignment="1">
      <alignment vertical="center" indent="1"/>
    </xf>
    <xf numFmtId="0" fontId="7" fillId="9" borderId="24" xfId="0" applyFont="1" applyFill="1" applyBorder="1" applyAlignment="1">
      <alignment vertical="center" indent="2"/>
    </xf>
    <xf numFmtId="0" fontId="7" fillId="8" borderId="24" xfId="0" applyFont="1" applyFill="1" applyBorder="1" applyAlignment="1">
      <alignment vertical="center" indent="2"/>
    </xf>
    <xf numFmtId="0" fontId="12" fillId="9" borderId="25" xfId="0" applyFont="1" applyFill="1" applyBorder="1" applyAlignment="1">
      <alignment vertical="center" indent="1"/>
    </xf>
    <xf numFmtId="0" fontId="12" fillId="3" borderId="26" xfId="0" applyFont="1" applyFill="1" applyBorder="1" applyAlignment="1">
      <alignment vertical="center" indent="1"/>
    </xf>
    <xf numFmtId="0" fontId="12" fillId="11" borderId="27" xfId="0" applyFont="1" applyFill="1" applyBorder="1" applyAlignment="1">
      <alignment vertical="center" indent="1"/>
    </xf>
    <xf numFmtId="0" fontId="13" fillId="8" borderId="24" xfId="0" applyFont="1" applyFill="1" applyBorder="1" applyAlignment="1">
      <alignment vertical="center" indent="1"/>
    </xf>
    <xf numFmtId="0" fontId="7" fillId="9" borderId="25" xfId="0" applyFont="1" applyFill="1" applyBorder="1" applyAlignment="1">
      <alignment vertical="center" indent="2"/>
    </xf>
    <xf numFmtId="0" fontId="7" fillId="8" borderId="28" xfId="0" applyFont="1" applyFill="1" applyBorder="1" applyAlignment="1">
      <alignment vertical="center" indent="2"/>
    </xf>
    <xf numFmtId="7" fontId="0" fillId="0" borderId="0" xfId="0" applyNumberFormat="1"/>
    <xf numFmtId="0" fontId="9" fillId="6" borderId="0" xfId="0" applyFont="1" applyFill="1" applyAlignment="1">
      <alignment horizontal="left" vertical="center" indent="1"/>
    </xf>
    <xf numFmtId="0" fontId="10" fillId="7" borderId="0" xfId="0" applyFont="1" applyFill="1" applyAlignment="1">
      <alignment horizontal="left" vertical="center" indent="1"/>
    </xf>
    <xf numFmtId="0" fontId="8" fillId="4" borderId="17" xfId="0" applyFont="1" applyFill="1" applyBorder="1" applyAlignment="1">
      <alignment horizontal="left" vertical="center" indent="1"/>
    </xf>
    <xf numFmtId="0" fontId="8" fillId="4" borderId="15" xfId="0" applyFont="1" applyFill="1" applyBorder="1" applyAlignment="1">
      <alignment horizontal="left" vertical="center" indent="1"/>
    </xf>
    <xf numFmtId="0" fontId="8" fillId="4" borderId="20" xfId="0" applyFont="1" applyFill="1" applyBorder="1" applyAlignment="1">
      <alignment horizontal="left" vertical="center" indent="1"/>
    </xf>
    <xf numFmtId="0" fontId="8" fillId="4" borderId="0" xfId="0" applyFont="1" applyFill="1" applyAlignment="1">
      <alignment horizontal="left" vertical="center" indent="1"/>
    </xf>
    <xf numFmtId="0" fontId="1" fillId="0" borderId="0" xfId="0" applyFont="1" applyBorder="1" applyAlignment="1">
      <alignment indent="1"/>
    </xf>
    <xf numFmtId="0" fontId="14" fillId="0" borderId="0" xfId="0" applyFont="1" applyBorder="1" applyAlignment="1">
      <alignment indent="1"/>
    </xf>
    <xf numFmtId="0" fontId="14" fillId="2" borderId="1" xfId="0" applyFont="1" applyFill="1" applyBorder="1" applyAlignment="1">
      <alignment indent="1"/>
    </xf>
    <xf numFmtId="164" fontId="1" fillId="2" borderId="0" xfId="0" applyNumberFormat="1" applyFont="1" applyFill="1" applyBorder="1" applyAlignment="1">
      <alignment horizontal="right"/>
    </xf>
    <xf numFmtId="164" fontId="11" fillId="5" borderId="29" xfId="0" applyNumberFormat="1" applyFont="1" applyFill="1" applyBorder="1" applyAlignment="1">
      <alignment horizontal="right"/>
    </xf>
    <xf numFmtId="164" fontId="15" fillId="0" borderId="0" xfId="0" applyNumberFormat="1" applyFont="1" applyBorder="1" applyAlignment="1">
      <alignment horizontal="right"/>
    </xf>
    <xf numFmtId="164" fontId="15" fillId="0" borderId="3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1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F5803240-E080-4064-8138-D370914BB62A}">
  <we:reference id="wa200009404" version="1.0.0.8" store="en-US" storeType="OMEX"/>
  <we:alternateReferences>
    <we:reference id="WA200009404" version="1.0.0.8" store="" storeType="OMEX"/>
  </we:alternateReferences>
  <we:properties>
    <we:property name="claude.fileId" value="&quot;aef5d29e-728d-4337-a341-934acd7c9f0f&quot;"/>
  </we:properties>
  <we:bindings/>
  <we:snapshot xmlns:r="http://schemas.openxmlformats.org/officeDocument/2006/relationships"/>
</we:webextension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964EC-0304-4217-91EF-4D6EB8915989}">
  <dimension ref="A1:B38"/>
  <sheetViews>
    <sheetView tabSelected="1" zoomScaleNormal="100" workbookViewId="0">
      <selection activeCell="B31" sqref="B31"/>
    </sheetView>
  </sheetViews>
  <sheetFormatPr defaultRowHeight="14.5" x14ac:dyDescent="0.35"/>
  <cols>
    <col min="1" max="1" width="49.54296875" customWidth="1"/>
    <col min="2" max="2" width="30.453125" customWidth="1"/>
    <col min="3" max="3" width="12.54296875" bestFit="1" customWidth="1"/>
  </cols>
  <sheetData>
    <row r="1" spans="1:2" ht="26.15" customHeight="1" x14ac:dyDescent="0.35">
      <c r="A1" s="3" t="s">
        <v>1</v>
      </c>
      <c r="B1" s="2"/>
    </row>
    <row r="2" spans="1:2" x14ac:dyDescent="0.35">
      <c r="A2" s="1" t="s">
        <v>2</v>
      </c>
      <c r="B2" s="1"/>
    </row>
    <row r="4" spans="1:2" ht="20.149999999999999" customHeight="1" x14ac:dyDescent="0.35">
      <c r="A4" s="4" t="s">
        <v>3</v>
      </c>
      <c r="B4" s="9"/>
    </row>
    <row r="5" spans="1:2" x14ac:dyDescent="0.35">
      <c r="A5" s="6" t="s">
        <v>4</v>
      </c>
      <c r="B5" s="10">
        <v>4.7</v>
      </c>
    </row>
    <row r="6" spans="1:2" x14ac:dyDescent="0.35">
      <c r="A6" s="6" t="s">
        <v>5</v>
      </c>
      <c r="B6" s="11">
        <v>27326</v>
      </c>
    </row>
    <row r="7" spans="1:2" x14ac:dyDescent="0.35">
      <c r="A7" s="6" t="s">
        <v>6</v>
      </c>
      <c r="B7" s="10">
        <v>2</v>
      </c>
    </row>
    <row r="8" spans="1:2" x14ac:dyDescent="0.35">
      <c r="A8" s="6" t="s">
        <v>7</v>
      </c>
      <c r="B8" s="10">
        <v>2.7</v>
      </c>
    </row>
    <row r="9" spans="1:2" x14ac:dyDescent="0.35">
      <c r="A9" s="6" t="s">
        <v>4</v>
      </c>
      <c r="B9" s="12">
        <f>B7+B8</f>
        <v>4.7</v>
      </c>
    </row>
    <row r="10" spans="1:2" x14ac:dyDescent="0.35">
      <c r="B10" s="13"/>
    </row>
    <row r="11" spans="1:2" ht="20.149999999999999" customHeight="1" x14ac:dyDescent="0.35">
      <c r="A11" s="4" t="s">
        <v>8</v>
      </c>
      <c r="B11" s="9"/>
    </row>
    <row r="12" spans="1:2" x14ac:dyDescent="0.35">
      <c r="A12" s="6" t="s">
        <v>0</v>
      </c>
      <c r="B12" s="14">
        <v>14000000</v>
      </c>
    </row>
    <row r="13" spans="1:2" x14ac:dyDescent="0.35">
      <c r="A13" s="6" t="s">
        <v>39</v>
      </c>
      <c r="B13" s="14">
        <v>3000000</v>
      </c>
    </row>
    <row r="14" spans="1:2" x14ac:dyDescent="0.35">
      <c r="A14" s="6" t="s">
        <v>9</v>
      </c>
      <c r="B14" s="15">
        <v>0.85</v>
      </c>
    </row>
    <row r="15" spans="1:2" x14ac:dyDescent="0.35">
      <c r="A15" s="6" t="s">
        <v>10</v>
      </c>
      <c r="B15" s="16">
        <f>(B12+B13)*B14</f>
        <v>14450000</v>
      </c>
    </row>
    <row r="16" spans="1:2" x14ac:dyDescent="0.35">
      <c r="A16" s="8" t="s">
        <v>11</v>
      </c>
      <c r="B16" s="17">
        <f>B12+B13-B15</f>
        <v>2550000</v>
      </c>
    </row>
    <row r="17" spans="1:2" x14ac:dyDescent="0.35">
      <c r="A17" s="6" t="s">
        <v>12</v>
      </c>
      <c r="B17" s="18">
        <v>7.0000000000000007E-2</v>
      </c>
    </row>
    <row r="18" spans="1:2" x14ac:dyDescent="0.35">
      <c r="A18" s="6" t="s">
        <v>13</v>
      </c>
      <c r="B18" s="19">
        <v>25</v>
      </c>
    </row>
    <row r="19" spans="1:2" x14ac:dyDescent="0.35">
      <c r="A19" s="6" t="s">
        <v>14</v>
      </c>
      <c r="B19" s="16">
        <f>-PMT(B17/12,B18*12,B15)*12</f>
        <v>1225555.1280750092</v>
      </c>
    </row>
    <row r="20" spans="1:2" x14ac:dyDescent="0.35">
      <c r="A20" s="6" t="s">
        <v>40</v>
      </c>
      <c r="B20" s="64">
        <f>B19/B5/12</f>
        <v>21729.70085239378</v>
      </c>
    </row>
    <row r="21" spans="1:2" ht="20.149999999999999" customHeight="1" x14ac:dyDescent="0.35">
      <c r="A21" s="4" t="s">
        <v>24</v>
      </c>
      <c r="B21" s="9"/>
    </row>
    <row r="22" spans="1:2" x14ac:dyDescent="0.35">
      <c r="A22" s="6" t="s">
        <v>25</v>
      </c>
      <c r="B22" s="14">
        <v>24000</v>
      </c>
    </row>
    <row r="23" spans="1:2" x14ac:dyDescent="0.35">
      <c r="A23" s="6" t="s">
        <v>26</v>
      </c>
      <c r="B23" s="14">
        <v>24000</v>
      </c>
    </row>
    <row r="24" spans="1:2" x14ac:dyDescent="0.35">
      <c r="A24" s="6" t="s">
        <v>15</v>
      </c>
      <c r="B24" s="16">
        <f>B7*B22*12</f>
        <v>576000</v>
      </c>
    </row>
    <row r="25" spans="1:2" x14ac:dyDescent="0.35">
      <c r="A25" s="6" t="s">
        <v>16</v>
      </c>
      <c r="B25" s="16">
        <f>B8*B23*12</f>
        <v>777600.00000000012</v>
      </c>
    </row>
    <row r="26" spans="1:2" x14ac:dyDescent="0.35">
      <c r="A26" s="8" t="s">
        <v>17</v>
      </c>
      <c r="B26" s="17">
        <f>B24+B25+B28</f>
        <v>1498600</v>
      </c>
    </row>
    <row r="27" spans="1:2" x14ac:dyDescent="0.35">
      <c r="A27" s="73" t="s">
        <v>47</v>
      </c>
      <c r="B27" s="74"/>
    </row>
    <row r="28" spans="1:2" x14ac:dyDescent="0.35">
      <c r="A28" s="71" t="s">
        <v>48</v>
      </c>
      <c r="B28" s="75">
        <v>145000</v>
      </c>
    </row>
    <row r="29" spans="1:2" x14ac:dyDescent="0.35">
      <c r="A29" s="71" t="s">
        <v>49</v>
      </c>
      <c r="B29" s="76">
        <f>-B28*(B7/B5)</f>
        <v>-61702.127659574471</v>
      </c>
    </row>
    <row r="30" spans="1:2" x14ac:dyDescent="0.35">
      <c r="A30" s="71" t="s">
        <v>50</v>
      </c>
      <c r="B30" s="76">
        <f>-B28*(B8/B5)</f>
        <v>-83297.872340425543</v>
      </c>
    </row>
    <row r="31" spans="1:2" x14ac:dyDescent="0.35">
      <c r="A31" s="72" t="s">
        <v>27</v>
      </c>
      <c r="B31" s="77">
        <f>B26+B29+B30</f>
        <v>1353600</v>
      </c>
    </row>
    <row r="32" spans="1:2" x14ac:dyDescent="0.35">
      <c r="B32" s="13"/>
    </row>
    <row r="33" spans="1:2" ht="20.149999999999999" customHeight="1" x14ac:dyDescent="0.35">
      <c r="A33" s="5" t="s">
        <v>19</v>
      </c>
      <c r="B33" s="20"/>
    </row>
    <row r="34" spans="1:2" x14ac:dyDescent="0.35">
      <c r="A34" s="7" t="s">
        <v>18</v>
      </c>
      <c r="B34" s="21">
        <f>B31</f>
        <v>1353600</v>
      </c>
    </row>
    <row r="35" spans="1:2" x14ac:dyDescent="0.35">
      <c r="A35" s="7" t="s">
        <v>20</v>
      </c>
      <c r="B35" s="22">
        <f>B34/B12</f>
        <v>9.6685714285714291E-2</v>
      </c>
    </row>
    <row r="36" spans="1:2" x14ac:dyDescent="0.35">
      <c r="A36" s="7" t="s">
        <v>21</v>
      </c>
      <c r="B36" s="23">
        <f>B34-B19</f>
        <v>128044.87192499079</v>
      </c>
    </row>
    <row r="37" spans="1:2" x14ac:dyDescent="0.35">
      <c r="A37" s="7" t="s">
        <v>22</v>
      </c>
      <c r="B37" s="22">
        <f>B36/B16</f>
        <v>5.0213675264702273E-2</v>
      </c>
    </row>
    <row r="38" spans="1:2" x14ac:dyDescent="0.35">
      <c r="A38" s="7" t="s">
        <v>23</v>
      </c>
      <c r="B38" s="24">
        <f>B34/B19</f>
        <v>1.1044790797180313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716A1-6933-4CAB-8C67-D4C4AF099F3B}">
  <dimension ref="A1:K26"/>
  <sheetViews>
    <sheetView zoomScale="85" zoomScaleNormal="85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B16" sqref="B16"/>
    </sheetView>
  </sheetViews>
  <sheetFormatPr defaultRowHeight="14.5" x14ac:dyDescent="0.35"/>
  <cols>
    <col min="1" max="1" width="43.81640625" customWidth="1"/>
    <col min="2" max="11" width="18.1796875" customWidth="1"/>
  </cols>
  <sheetData>
    <row r="1" spans="1:11" ht="36" customHeight="1" x14ac:dyDescent="0.35">
      <c r="A1" s="65" t="s">
        <v>28</v>
      </c>
      <c r="B1" s="65"/>
      <c r="C1" s="65"/>
      <c r="D1" s="65"/>
      <c r="E1" s="65"/>
      <c r="F1" s="65"/>
      <c r="G1" s="65"/>
      <c r="H1" s="65"/>
      <c r="I1" s="65"/>
      <c r="J1" s="65"/>
      <c r="K1" s="65"/>
    </row>
    <row r="2" spans="1:11" ht="22" customHeight="1" x14ac:dyDescent="0.35">
      <c r="A2" s="66" t="s">
        <v>29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x14ac:dyDescent="0.3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26.15" customHeight="1" x14ac:dyDescent="0.35">
      <c r="A4" s="67" t="s">
        <v>30</v>
      </c>
      <c r="B4" s="68"/>
      <c r="C4" s="68"/>
      <c r="D4" s="68"/>
      <c r="E4" s="68"/>
      <c r="F4" s="68"/>
      <c r="G4" s="68"/>
      <c r="H4" s="68"/>
      <c r="I4" s="68"/>
      <c r="J4" s="68"/>
      <c r="K4" s="69"/>
    </row>
    <row r="5" spans="1:11" ht="20.149999999999999" customHeight="1" x14ac:dyDescent="0.35">
      <c r="A5" s="56" t="s">
        <v>43</v>
      </c>
      <c r="B5" s="44">
        <v>3.5000000000000003E-2</v>
      </c>
      <c r="C5" s="45"/>
      <c r="D5" s="45"/>
      <c r="E5" s="45"/>
      <c r="F5" s="45"/>
      <c r="G5" s="45"/>
      <c r="H5" s="45"/>
      <c r="I5" s="45"/>
      <c r="J5" s="45"/>
      <c r="K5" s="52"/>
    </row>
    <row r="6" spans="1:11" ht="20.149999999999999" customHeight="1" x14ac:dyDescent="0.35">
      <c r="A6" s="57" t="s">
        <v>44</v>
      </c>
      <c r="B6" s="44">
        <v>3.5000000000000003E-2</v>
      </c>
      <c r="C6" s="46"/>
      <c r="D6" s="46"/>
      <c r="E6" s="46"/>
      <c r="F6" s="46"/>
      <c r="G6" s="46"/>
      <c r="H6" s="46"/>
      <c r="I6" s="46"/>
      <c r="J6" s="46"/>
      <c r="K6" s="53"/>
    </row>
    <row r="7" spans="1:11" ht="20.149999999999999" customHeight="1" x14ac:dyDescent="0.35">
      <c r="A7" s="50" t="s">
        <v>31</v>
      </c>
      <c r="B7" s="47">
        <v>145000</v>
      </c>
      <c r="C7" s="45"/>
      <c r="D7" s="45"/>
      <c r="E7" s="45"/>
      <c r="F7" s="45"/>
      <c r="G7" s="45"/>
      <c r="H7" s="45"/>
      <c r="I7" s="45"/>
      <c r="J7" s="45"/>
      <c r="K7" s="52"/>
    </row>
    <row r="8" spans="1:11" ht="20.149999999999999" customHeight="1" x14ac:dyDescent="0.35">
      <c r="A8" s="51" t="s">
        <v>32</v>
      </c>
      <c r="B8" s="48">
        <v>0.03</v>
      </c>
      <c r="C8" s="49"/>
      <c r="D8" s="49"/>
      <c r="E8" s="49"/>
      <c r="F8" s="49"/>
      <c r="G8" s="49"/>
      <c r="H8" s="49"/>
      <c r="I8" s="49"/>
      <c r="J8" s="49"/>
      <c r="K8" s="54"/>
    </row>
    <row r="9" spans="1:11" x14ac:dyDescent="0.35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</row>
    <row r="10" spans="1:11" ht="26.15" customHeight="1" thickBot="1" x14ac:dyDescent="0.4">
      <c r="A10" s="70" t="s">
        <v>33</v>
      </c>
      <c r="B10" s="70"/>
      <c r="C10" s="70"/>
      <c r="D10" s="70"/>
      <c r="E10" s="70"/>
      <c r="F10" s="70"/>
      <c r="G10" s="70"/>
      <c r="H10" s="70"/>
      <c r="I10" s="70"/>
      <c r="J10" s="70"/>
      <c r="K10" s="70"/>
    </row>
    <row r="11" spans="1:11" ht="24" customHeight="1" x14ac:dyDescent="0.35">
      <c r="A11" s="55" t="s">
        <v>34</v>
      </c>
      <c r="B11" s="33">
        <v>1</v>
      </c>
      <c r="C11" s="33">
        <f>B11+1</f>
        <v>2</v>
      </c>
      <c r="D11" s="33">
        <f t="shared" ref="D11:K11" si="0">C11+1</f>
        <v>3</v>
      </c>
      <c r="E11" s="33">
        <f t="shared" si="0"/>
        <v>4</v>
      </c>
      <c r="F11" s="33">
        <f t="shared" si="0"/>
        <v>5</v>
      </c>
      <c r="G11" s="33">
        <f t="shared" si="0"/>
        <v>6</v>
      </c>
      <c r="H11" s="33">
        <f t="shared" si="0"/>
        <v>7</v>
      </c>
      <c r="I11" s="33">
        <f t="shared" si="0"/>
        <v>8</v>
      </c>
      <c r="J11" s="33">
        <f t="shared" si="0"/>
        <v>9</v>
      </c>
      <c r="K11" s="35">
        <f t="shared" si="0"/>
        <v>10</v>
      </c>
    </row>
    <row r="12" spans="1:11" ht="20.149999999999999" customHeight="1" x14ac:dyDescent="0.35">
      <c r="A12" s="56" t="s">
        <v>41</v>
      </c>
      <c r="B12" s="30">
        <f>'Aquisition Model'!$B$24-B15</f>
        <v>637702.1276595745</v>
      </c>
      <c r="C12" s="30">
        <f>(B12+B15)*(1+$B$5)-C15</f>
        <v>659713.19148936169</v>
      </c>
      <c r="D12" s="30">
        <f t="shared" ref="D12:K12" si="1">(C12+C15)*(1+$B$5)-D15</f>
        <v>682485.38723404252</v>
      </c>
      <c r="E12" s="30">
        <f t="shared" si="1"/>
        <v>706045.07685106376</v>
      </c>
      <c r="F12" s="30">
        <f t="shared" si="1"/>
        <v>730419.53663659561</v>
      </c>
      <c r="G12" s="30">
        <f t="shared" si="1"/>
        <v>755636.98897749337</v>
      </c>
      <c r="H12" s="30">
        <f t="shared" si="1"/>
        <v>781726.6352070811</v>
      </c>
      <c r="I12" s="30">
        <f t="shared" si="1"/>
        <v>808718.68960316561</v>
      </c>
      <c r="J12" s="30">
        <f t="shared" si="1"/>
        <v>836644.4145680283</v>
      </c>
      <c r="K12" s="36">
        <f t="shared" si="1"/>
        <v>865536.15703152376</v>
      </c>
    </row>
    <row r="13" spans="1:11" ht="20.149999999999999" customHeight="1" x14ac:dyDescent="0.35">
      <c r="A13" s="57" t="s">
        <v>42</v>
      </c>
      <c r="B13" s="31">
        <f>'Aquisition Model'!$B$25-B16</f>
        <v>860897.87234042562</v>
      </c>
      <c r="C13" s="31">
        <f>(B13+B16)*(1+$B$6)-C16</f>
        <v>890612.80851063842</v>
      </c>
      <c r="D13" s="31">
        <f t="shared" ref="D13:K13" si="2">(C13+C16)*(1+$B$6)-D16</f>
        <v>921355.27276595752</v>
      </c>
      <c r="E13" s="31">
        <f t="shared" si="2"/>
        <v>953160.85374893621</v>
      </c>
      <c r="F13" s="31">
        <f t="shared" si="2"/>
        <v>986066.37445940427</v>
      </c>
      <c r="G13" s="31">
        <f t="shared" si="2"/>
        <v>1020109.9351196163</v>
      </c>
      <c r="H13" s="31">
        <f t="shared" si="2"/>
        <v>1055330.9575295597</v>
      </c>
      <c r="I13" s="31">
        <f t="shared" si="2"/>
        <v>1091770.2309642739</v>
      </c>
      <c r="J13" s="31">
        <f t="shared" si="2"/>
        <v>1129469.9596668384</v>
      </c>
      <c r="K13" s="37">
        <f t="shared" si="2"/>
        <v>1168473.811992557</v>
      </c>
    </row>
    <row r="14" spans="1:11" ht="22" customHeight="1" x14ac:dyDescent="0.35">
      <c r="A14" s="58" t="s">
        <v>17</v>
      </c>
      <c r="B14" s="26">
        <f>B12+B13</f>
        <v>1498600</v>
      </c>
      <c r="C14" s="26">
        <f t="shared" ref="C14:K14" si="3">C12+C13</f>
        <v>1550326</v>
      </c>
      <c r="D14" s="26">
        <f t="shared" si="3"/>
        <v>1603840.6600000001</v>
      </c>
      <c r="E14" s="26">
        <f t="shared" si="3"/>
        <v>1659205.9306000001</v>
      </c>
      <c r="F14" s="26">
        <f t="shared" si="3"/>
        <v>1716485.9110959999</v>
      </c>
      <c r="G14" s="26">
        <f t="shared" si="3"/>
        <v>1775746.9240971096</v>
      </c>
      <c r="H14" s="26">
        <f t="shared" si="3"/>
        <v>1837057.5927366409</v>
      </c>
      <c r="I14" s="26">
        <f t="shared" si="3"/>
        <v>1900488.9205674394</v>
      </c>
      <c r="J14" s="26">
        <f t="shared" si="3"/>
        <v>1966114.3742348668</v>
      </c>
      <c r="K14" s="38">
        <f t="shared" si="3"/>
        <v>2034009.9690240808</v>
      </c>
    </row>
    <row r="15" spans="1:11" ht="22" customHeight="1" x14ac:dyDescent="0.35">
      <c r="A15" s="57" t="s">
        <v>46</v>
      </c>
      <c r="B15" s="31">
        <f>-$B$7*('Aquisition Model'!$B$7/'Aquisition Model'!$B$5)</f>
        <v>-61702.127659574471</v>
      </c>
      <c r="C15" s="31">
        <f>B15*(1+$B$8)</f>
        <v>-63553.191489361707</v>
      </c>
      <c r="D15" s="31">
        <f t="shared" ref="D15" si="4">C15*(1+$B$8)</f>
        <v>-65459.78723404256</v>
      </c>
      <c r="E15" s="31">
        <f t="shared" ref="E15" si="5">D15*(1+$B$8)</f>
        <v>-67423.580851063845</v>
      </c>
      <c r="F15" s="31">
        <f t="shared" ref="F15" si="6">E15*(1+$B$8)</f>
        <v>-69446.288276595762</v>
      </c>
      <c r="G15" s="31">
        <f t="shared" ref="G15" si="7">F15*(1+$B$8)</f>
        <v>-71529.676924893633</v>
      </c>
      <c r="H15" s="31">
        <f t="shared" ref="H15" si="8">G15*(1+$B$8)</f>
        <v>-73675.567232640446</v>
      </c>
      <c r="I15" s="31">
        <f t="shared" ref="I15" si="9">H15*(1+$B$8)</f>
        <v>-75885.834249619656</v>
      </c>
      <c r="J15" s="31">
        <f t="shared" ref="J15" si="10">I15*(1+$B$8)</f>
        <v>-78162.409277108251</v>
      </c>
      <c r="K15" s="37">
        <f t="shared" ref="K15" si="11">J15*(1+$B$8)</f>
        <v>-80507.281555421505</v>
      </c>
    </row>
    <row r="16" spans="1:11" ht="20.149999999999999" customHeight="1" x14ac:dyDescent="0.35">
      <c r="A16" s="57" t="s">
        <v>45</v>
      </c>
      <c r="B16" s="31">
        <f>-$B$7*('Aquisition Model'!$B$8/'Aquisition Model'!$B$5)</f>
        <v>-83297.872340425543</v>
      </c>
      <c r="C16" s="31">
        <f>B16*(1+$B$8)</f>
        <v>-85796.808510638308</v>
      </c>
      <c r="D16" s="31">
        <f t="shared" ref="D16:K16" si="12">C16*(1+$B$8)</f>
        <v>-88370.712765957462</v>
      </c>
      <c r="E16" s="31">
        <f t="shared" si="12"/>
        <v>-91021.834148936192</v>
      </c>
      <c r="F16" s="31">
        <f t="shared" si="12"/>
        <v>-93752.489173404276</v>
      </c>
      <c r="G16" s="31">
        <f t="shared" si="12"/>
        <v>-96565.063848606413</v>
      </c>
      <c r="H16" s="31">
        <f t="shared" si="12"/>
        <v>-99462.015764064607</v>
      </c>
      <c r="I16" s="31">
        <f t="shared" si="12"/>
        <v>-102445.87623698654</v>
      </c>
      <c r="J16" s="31">
        <f t="shared" si="12"/>
        <v>-105519.25252409614</v>
      </c>
      <c r="K16" s="37">
        <f t="shared" si="12"/>
        <v>-108684.83009981902</v>
      </c>
    </row>
    <row r="17" spans="1:11" ht="24" customHeight="1" x14ac:dyDescent="0.35">
      <c r="A17" s="59" t="s">
        <v>35</v>
      </c>
      <c r="B17" s="28">
        <f>B14+B15+B16</f>
        <v>1353600</v>
      </c>
      <c r="C17" s="28">
        <f t="shared" ref="C17:K17" si="13">C14+C15+C16</f>
        <v>1400976</v>
      </c>
      <c r="D17" s="28">
        <f t="shared" si="13"/>
        <v>1450010.1600000001</v>
      </c>
      <c r="E17" s="28">
        <f t="shared" si="13"/>
        <v>1500760.5156</v>
      </c>
      <c r="F17" s="28">
        <f t="shared" si="13"/>
        <v>1553287.1336459999</v>
      </c>
      <c r="G17" s="28">
        <f t="shared" si="13"/>
        <v>1607652.1833236096</v>
      </c>
      <c r="H17" s="28">
        <f t="shared" si="13"/>
        <v>1663920.0097399359</v>
      </c>
      <c r="I17" s="28">
        <f t="shared" si="13"/>
        <v>1722157.2100808332</v>
      </c>
      <c r="J17" s="28">
        <f t="shared" si="13"/>
        <v>1782432.7124336625</v>
      </c>
      <c r="K17" s="39">
        <f t="shared" si="13"/>
        <v>1844817.8573688404</v>
      </c>
    </row>
    <row r="18" spans="1:11" ht="20.149999999999999" customHeight="1" x14ac:dyDescent="0.35">
      <c r="A18" s="57" t="s">
        <v>36</v>
      </c>
      <c r="B18" s="31">
        <f>-'Aquisition Model'!$B$19</f>
        <v>-1225555.1280750092</v>
      </c>
      <c r="C18" s="31">
        <f>-'Aquisition Model'!$B$19</f>
        <v>-1225555.1280750092</v>
      </c>
      <c r="D18" s="31">
        <f>-'Aquisition Model'!$B$19</f>
        <v>-1225555.1280750092</v>
      </c>
      <c r="E18" s="31">
        <f>-'Aquisition Model'!$B$19</f>
        <v>-1225555.1280750092</v>
      </c>
      <c r="F18" s="31">
        <f>-'Aquisition Model'!$B$19</f>
        <v>-1225555.1280750092</v>
      </c>
      <c r="G18" s="31">
        <f>-'Aquisition Model'!$B$19</f>
        <v>-1225555.1280750092</v>
      </c>
      <c r="H18" s="31">
        <f>-'Aquisition Model'!$B$19</f>
        <v>-1225555.1280750092</v>
      </c>
      <c r="I18" s="31">
        <f>-'Aquisition Model'!$B$19</f>
        <v>-1225555.1280750092</v>
      </c>
      <c r="J18" s="31">
        <f>-'Aquisition Model'!$B$19</f>
        <v>-1225555.1280750092</v>
      </c>
      <c r="K18" s="37">
        <f>-'Aquisition Model'!$B$19</f>
        <v>-1225555.1280750092</v>
      </c>
    </row>
    <row r="19" spans="1:11" ht="24" customHeight="1" x14ac:dyDescent="0.35">
      <c r="A19" s="60" t="s">
        <v>37</v>
      </c>
      <c r="B19" s="29">
        <f>B17+B18</f>
        <v>128044.87192499079</v>
      </c>
      <c r="C19" s="29">
        <f>C17+C18</f>
        <v>175420.87192499079</v>
      </c>
      <c r="D19" s="29">
        <f t="shared" ref="D19:K19" si="14">D17+D18</f>
        <v>224455.03192499094</v>
      </c>
      <c r="E19" s="29">
        <f t="shared" si="14"/>
        <v>275205.38752499083</v>
      </c>
      <c r="F19" s="29">
        <f t="shared" si="14"/>
        <v>327732.00557099073</v>
      </c>
      <c r="G19" s="29">
        <f t="shared" si="14"/>
        <v>382097.05524860043</v>
      </c>
      <c r="H19" s="29">
        <f t="shared" si="14"/>
        <v>438364.88166492665</v>
      </c>
      <c r="I19" s="29">
        <f t="shared" si="14"/>
        <v>496602.08200582396</v>
      </c>
      <c r="J19" s="29">
        <f t="shared" si="14"/>
        <v>556877.58435865329</v>
      </c>
      <c r="K19" s="40">
        <f t="shared" si="14"/>
        <v>619262.72929383116</v>
      </c>
    </row>
    <row r="20" spans="1:11" ht="20.149999999999999" customHeight="1" x14ac:dyDescent="0.35">
      <c r="A20" s="61" t="s">
        <v>38</v>
      </c>
      <c r="B20" s="32">
        <f>B19</f>
        <v>128044.87192499079</v>
      </c>
      <c r="C20" s="32">
        <f>B20+C19</f>
        <v>303465.74384998158</v>
      </c>
      <c r="D20" s="32">
        <f t="shared" ref="D20:K20" si="15">C20+D19</f>
        <v>527920.77577497251</v>
      </c>
      <c r="E20" s="32">
        <f t="shared" si="15"/>
        <v>803126.16329996334</v>
      </c>
      <c r="F20" s="32">
        <f t="shared" si="15"/>
        <v>1130858.1688709541</v>
      </c>
      <c r="G20" s="32">
        <f t="shared" si="15"/>
        <v>1512955.2241195545</v>
      </c>
      <c r="H20" s="32">
        <f t="shared" si="15"/>
        <v>1951320.1057844812</v>
      </c>
      <c r="I20" s="32">
        <f t="shared" si="15"/>
        <v>2447922.1877903054</v>
      </c>
      <c r="J20" s="32">
        <f t="shared" si="15"/>
        <v>3004799.7721489584</v>
      </c>
      <c r="K20" s="41">
        <f t="shared" si="15"/>
        <v>3624062.5014427896</v>
      </c>
    </row>
    <row r="21" spans="1:11" ht="20.149999999999999" customHeight="1" x14ac:dyDescent="0.35">
      <c r="A21" s="62" t="s">
        <v>23</v>
      </c>
      <c r="B21" s="27">
        <f>B17/-B18</f>
        <v>1.1044790797180313</v>
      </c>
      <c r="C21" s="27">
        <f>C17/-C18</f>
        <v>1.1431358475081623</v>
      </c>
      <c r="D21" s="27">
        <f t="shared" ref="D21:K21" si="16">D17/-D18</f>
        <v>1.1831456021709481</v>
      </c>
      <c r="E21" s="27">
        <f t="shared" si="16"/>
        <v>1.2245556982469312</v>
      </c>
      <c r="F21" s="27">
        <f t="shared" si="16"/>
        <v>1.2674151476855737</v>
      </c>
      <c r="G21" s="27">
        <f t="shared" si="16"/>
        <v>1.3117746778545685</v>
      </c>
      <c r="H21" s="27">
        <f t="shared" si="16"/>
        <v>1.3576867915794784</v>
      </c>
      <c r="I21" s="27">
        <f t="shared" si="16"/>
        <v>1.4052058292847596</v>
      </c>
      <c r="J21" s="27">
        <f t="shared" si="16"/>
        <v>1.4543880333097263</v>
      </c>
      <c r="K21" s="42">
        <f t="shared" si="16"/>
        <v>1.5052916144755666</v>
      </c>
    </row>
    <row r="22" spans="1:11" ht="20.149999999999999" customHeight="1" thickBot="1" x14ac:dyDescent="0.4">
      <c r="A22" s="63" t="s">
        <v>22</v>
      </c>
      <c r="B22" s="34">
        <f>B19/'Aquisition Model'!$B$16</f>
        <v>5.0213675264702273E-2</v>
      </c>
      <c r="C22" s="34">
        <f>C19/'Aquisition Model'!$B$16</f>
        <v>6.8792498794114032E-2</v>
      </c>
      <c r="D22" s="34">
        <f>D19/'Aquisition Model'!$B$16</f>
        <v>8.8021581147055272E-2</v>
      </c>
      <c r="E22" s="34">
        <f>E19/'Aquisition Model'!$B$16</f>
        <v>0.10792368138234934</v>
      </c>
      <c r="F22" s="34">
        <f>F19/'Aquisition Model'!$B$16</f>
        <v>0.12852235512587873</v>
      </c>
      <c r="G22" s="34">
        <f>G19/'Aquisition Model'!$B$16</f>
        <v>0.14984198245043154</v>
      </c>
      <c r="H22" s="34">
        <f>H19/'Aquisition Model'!$B$16</f>
        <v>0.17190779673134379</v>
      </c>
      <c r="I22" s="34">
        <f>I19/'Aquisition Model'!$B$16</f>
        <v>0.19474591451208784</v>
      </c>
      <c r="J22" s="34">
        <f>J19/'Aquisition Model'!$B$16</f>
        <v>0.21838336641515815</v>
      </c>
      <c r="K22" s="43">
        <f>K19/'Aquisition Model'!$B$16</f>
        <v>0.24284812913483575</v>
      </c>
    </row>
    <row r="23" spans="1:11" x14ac:dyDescent="0.3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1:11" x14ac:dyDescent="0.3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</row>
    <row r="25" spans="1:11" x14ac:dyDescent="0.35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</row>
    <row r="26" spans="1:11" x14ac:dyDescent="0.3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</row>
  </sheetData>
  <mergeCells count="4">
    <mergeCell ref="A1:K1"/>
    <mergeCell ref="A2:K2"/>
    <mergeCell ref="A4:K4"/>
    <mergeCell ref="A10:K10"/>
  </mergeCell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00988469B1B44FA14BA0701A61B429" ma:contentTypeVersion="15" ma:contentTypeDescription="Create a new document." ma:contentTypeScope="" ma:versionID="57a29475836a16ad9258ada3785e010c">
  <xsd:schema xmlns:xsd="http://www.w3.org/2001/XMLSchema" xmlns:xs="http://www.w3.org/2001/XMLSchema" xmlns:p="http://schemas.microsoft.com/office/2006/metadata/properties" xmlns:ns2="a2f54990-6f07-4178-b695-8fe252f64f24" xmlns:ns3="2f0eb7ea-f851-43b1-ba3d-b62d81bda275" targetNamespace="http://schemas.microsoft.com/office/2006/metadata/properties" ma:root="true" ma:fieldsID="c91b0121ac8415d090280107d361a1d6" ns2:_="" ns3:_="">
    <xsd:import namespace="a2f54990-6f07-4178-b695-8fe252f64f24"/>
    <xsd:import namespace="2f0eb7ea-f851-43b1-ba3d-b62d81bda275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f54990-6f07-4178-b695-8fe252f64f24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7ce671e0-2aae-4c8d-b367-8bb3494c1b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0eb7ea-f851-43b1-ba3d-b62d81bda275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0adb75eb-6bd9-47f9-828c-a8d85ee3a350}" ma:internalName="TaxCatchAll" ma:showField="CatchAllData" ma:web="2f0eb7ea-f851-43b1-ba3d-b62d81bda27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2f54990-6f07-4178-b695-8fe252f64f24">
      <Terms xmlns="http://schemas.microsoft.com/office/infopath/2007/PartnerControls"/>
    </lcf76f155ced4ddcb4097134ff3c332f>
    <TaxCatchAll xmlns="2f0eb7ea-f851-43b1-ba3d-b62d81bda275" xsi:nil="true"/>
  </documentManagement>
</p:properties>
</file>

<file path=customXml/itemProps1.xml><?xml version="1.0" encoding="utf-8"?>
<ds:datastoreItem xmlns:ds="http://schemas.openxmlformats.org/officeDocument/2006/customXml" ds:itemID="{05DF5EAF-3825-46F5-B53D-BF5390714A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f54990-6f07-4178-b695-8fe252f64f24"/>
    <ds:schemaRef ds:uri="2f0eb7ea-f851-43b1-ba3d-b62d81bda27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4408CDF-06D7-4A55-A5D9-97AF373C49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15CE41-1EB7-4970-A01D-55AAD2C4A932}">
  <ds:schemaRefs>
    <ds:schemaRef ds:uri="http://schemas.microsoft.com/office/2006/metadata/properties"/>
    <ds:schemaRef ds:uri="http://schemas.microsoft.com/office/infopath/2007/PartnerControls"/>
    <ds:schemaRef ds:uri="a2f54990-6f07-4178-b695-8fe252f64f24"/>
    <ds:schemaRef ds:uri="2f0eb7ea-f851-43b1-ba3d-b62d81bda275"/>
  </ds:schemaRefs>
</ds:datastoreItem>
</file>

<file path=docMetadata/LabelInfo.xml><?xml version="1.0" encoding="utf-8"?>
<clbl:labelList xmlns:clbl="http://schemas.microsoft.com/office/2020/mipLabelMetadata">
  <clbl:label id="{8c970d48-f7b9-48b0-9606-072fbefb514d}" enabled="1" method="Standard" siteId="{049e3382-8cdc-477b-9317-951b0468966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Aquisition Model</vt:lpstr>
      <vt:lpstr>Cash Flow</vt:lpstr>
    </vt:vector>
  </TitlesOfParts>
  <Company>Colliers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Canosa, Michael</dc:creator>
  <cp:lastModifiedBy>Canosa, Michael</cp:lastModifiedBy>
  <dcterms:created xsi:type="dcterms:W3CDTF">2026-05-28T20:01:31Z</dcterms:created>
  <dcterms:modified xsi:type="dcterms:W3CDTF">2026-07-20T21:16:10Z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0x0101000100988469B1B44FA14BA0701A61B429</vt:lpwstr>
  </property>
</Properties>
</file>